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Documents\Fjernvarmesselskaber\Ribe\"/>
    </mc:Choice>
  </mc:AlternateContent>
  <xr:revisionPtr revIDLastSave="0" documentId="8_{D7E6E540-1E61-42DD-9A4F-7675CA6327C7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Afhængig af Varmeforbrug" sheetId="5" r:id="rId1"/>
  </sheets>
  <definedNames>
    <definedName name="_xlnm.Print_Area" localSheetId="0">'Afhængig af Varmeforbrug'!$A$1:$G$50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5" l="1"/>
  <c r="F40" i="5"/>
  <c r="E37" i="5"/>
  <c r="G28" i="5"/>
  <c r="G37" i="5" s="1"/>
  <c r="F34" i="5"/>
  <c r="C20" i="5"/>
  <c r="C14" i="5"/>
  <c r="G26" i="5"/>
  <c r="F26" i="5"/>
  <c r="F39" i="5" s="1"/>
  <c r="E26" i="5"/>
  <c r="E38" i="5" s="1"/>
  <c r="D26" i="5"/>
  <c r="G41" i="5" l="1"/>
  <c r="F41" i="5"/>
  <c r="E41" i="5"/>
  <c r="D41" i="5"/>
  <c r="F38" i="5"/>
  <c r="F43" i="5" s="1"/>
  <c r="D38" i="5"/>
  <c r="F35" i="5"/>
  <c r="G31" i="5"/>
  <c r="G35" i="5"/>
  <c r="E30" i="5"/>
  <c r="E35" i="5" s="1"/>
  <c r="D30" i="5"/>
  <c r="D35" i="5" s="1"/>
  <c r="G27" i="5"/>
  <c r="F44" i="5" l="1"/>
  <c r="F46" i="5"/>
  <c r="F47" i="5" s="1"/>
  <c r="E43" i="5"/>
  <c r="D43" i="5"/>
  <c r="C17" i="5"/>
  <c r="D46" i="5" l="1"/>
  <c r="D47" i="5" s="1"/>
  <c r="D44" i="5"/>
  <c r="E46" i="5"/>
  <c r="E47" i="5" s="1"/>
  <c r="E44" i="5"/>
  <c r="G38" i="5"/>
  <c r="D49" i="5"/>
  <c r="F49" i="5"/>
  <c r="F50" i="5" s="1"/>
  <c r="G43" i="5" l="1"/>
  <c r="G44" i="5" s="1"/>
  <c r="D50" i="5"/>
  <c r="E49" i="5"/>
  <c r="E50" i="5" s="1"/>
  <c r="G46" i="5"/>
  <c r="G47" i="5" s="1"/>
  <c r="G49" i="5" l="1"/>
  <c r="G50" i="5" s="1"/>
</calcChain>
</file>

<file path=xl/sharedStrings.xml><?xml version="1.0" encoding="utf-8"?>
<sst xmlns="http://schemas.openxmlformats.org/spreadsheetml/2006/main" count="86" uniqueCount="61">
  <si>
    <t>MWh/år</t>
  </si>
  <si>
    <t>kr. /år</t>
  </si>
  <si>
    <t>kr. /MWh</t>
  </si>
  <si>
    <t xml:space="preserve">kr. </t>
  </si>
  <si>
    <t>Levetid unit/anlæg</t>
  </si>
  <si>
    <t>år</t>
  </si>
  <si>
    <t>Service/vedligehold inkl. lovpligtig eftersyn</t>
  </si>
  <si>
    <t>Samlede omkostninger set over 20 år</t>
  </si>
  <si>
    <t xml:space="preserve">Varmebehov an gens. forbruger </t>
  </si>
  <si>
    <t>Abonnementsbidrag (pr måler)</t>
  </si>
  <si>
    <t>Oliekedel
Som eksisterende</t>
  </si>
  <si>
    <t>Her og nu investering inkl. Moms</t>
  </si>
  <si>
    <t>Års COP / Virkningsgrad</t>
  </si>
  <si>
    <t>kr.</t>
  </si>
  <si>
    <t>Afkobling af eksisterende anlæg</t>
  </si>
  <si>
    <t>Beregnet varmepris</t>
  </si>
  <si>
    <t>Varmeforbrug</t>
  </si>
  <si>
    <t>Alle priser er inkl. Moms</t>
  </si>
  <si>
    <t>Omregning, Olie</t>
  </si>
  <si>
    <t>Omregning, Træpiller</t>
  </si>
  <si>
    <t>Årligt olieforbrug</t>
  </si>
  <si>
    <t>Indtast dit varmeforbrug</t>
  </si>
  <si>
    <t>Indtast olieforbrug</t>
  </si>
  <si>
    <t>Indtast træpilleforbrug</t>
  </si>
  <si>
    <t>Sådan gør du:</t>
  </si>
  <si>
    <t>Årligt varmeforbrug</t>
  </si>
  <si>
    <t>Årligt træpilleforbrug</t>
  </si>
  <si>
    <t>L/år - (Forventet gennemsnit, ca. 2.100 L/år)</t>
  </si>
  <si>
    <t>kg/år - (Forventet gennemsnit, ca. 4.600 kg/år)</t>
  </si>
  <si>
    <t>(Hvis du ikke kender dit olie- eller træpilleforbrug, men du kender dit varmeforbrug, kan dette indtastes direkte I det gule felt)</t>
  </si>
  <si>
    <t>MWh/år - (Værdi hentes fra ovenstående omregning)</t>
  </si>
  <si>
    <t>Naturgas            Som eksisterende</t>
  </si>
  <si>
    <t>Fjernvarme
egenbetaling</t>
  </si>
  <si>
    <t>Varmepumpe
luft til vand</t>
  </si>
  <si>
    <t xml:space="preserve">Elpris i alt, med reduceret afgifter.  </t>
  </si>
  <si>
    <t>Unit inkl. inst.</t>
  </si>
  <si>
    <t>Individuelt anlæg inkl. inst.</t>
  </si>
  <si>
    <t>Reinvestering efter 16 år</t>
  </si>
  <si>
    <t>Tilslutningsafgift stikledning og måler</t>
  </si>
  <si>
    <t>Årlig udgift set over 20 år, eks. Kapitalomkostninger</t>
  </si>
  <si>
    <t>Årlig udgift set over 20 år, inkl. Finansiering</t>
  </si>
  <si>
    <t>Forbrugerøkonomi, Ribe Fjernvarme</t>
  </si>
  <si>
    <t>Effektafgift</t>
  </si>
  <si>
    <t>Omregning, Gas</t>
  </si>
  <si>
    <t>Årligt gasforbrug</t>
  </si>
  <si>
    <t>m3/år - (Forventet gennemsnit, ca. L/år)</t>
  </si>
  <si>
    <t>Indtast gasforbrug</t>
  </si>
  <si>
    <t>Anvendte brændselspriser:</t>
  </si>
  <si>
    <t>(Indsæt "X")</t>
  </si>
  <si>
    <t>Transmissionsbidrag</t>
  </si>
  <si>
    <t>Fordelen ved fjernvarme frem for alternativ brændsel</t>
  </si>
  <si>
    <t>2.  Indtast dit gas-, olie- eller træpilleforbrug I de blå felter</t>
  </si>
  <si>
    <t>3.  Herefter indtast dit beregnede varmeforbrug I det gule felt</t>
  </si>
  <si>
    <t>1.  Sæt kryds(X) i det røde felt hvis du bor i et af områderne på listen</t>
  </si>
  <si>
    <t>*</t>
  </si>
  <si>
    <t>* Varmeprisen for naturgas, oliekedel og varmepumpe er meget afhængig af de svingende brændselspriser</t>
  </si>
  <si>
    <t>Elpris, 332,2 øre/kWh inkl. afgifter, fra EWII, d. 25/01-23</t>
  </si>
  <si>
    <t>Gaspris, 13,06 kr./m3 inkl. Afgifter, som variabel pris fra Nettopower, d. 25/01-23</t>
  </si>
  <si>
    <t>Oliepris, 17.807 kr./1000 L, fra OK d. 25/01-23</t>
  </si>
  <si>
    <t>Sæt kryds i den indrammede boks hvis du for i et 
af de følgende områder:
- Øster Vedsted og omegn
- Haulundvej
- Roagervej
- Egebæk
- Hviding
- Vester Vedsted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</si>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</sst>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_ * #,##0.0_ ;_ * \-#,##0.0_ ;_ * &quot;-&quot;??_ ;_ @_ 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7D7D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165" fontId="1" fillId="0" borderId="0" xfId="1" applyNumberFormat="1" applyFont="1" applyAlignment="1" applyProtection="1">
      <alignment horizontal="right"/>
    </xf>
    <xf numFmtId="165" fontId="0" fillId="0" borderId="0" xfId="1" applyNumberFormat="1" applyFont="1" applyAlignment="1" applyProtection="1"/>
    <xf numFmtId="0" fontId="2" fillId="0" borderId="0" xfId="0" applyFont="1" applyAlignment="1">
      <alignment vertical="center"/>
    </xf>
    <xf numFmtId="0" fontId="5" fillId="0" borderId="9" xfId="0" applyFont="1" applyBorder="1"/>
    <xf numFmtId="0" fontId="2" fillId="0" borderId="0" xfId="0" applyFont="1" applyAlignment="1">
      <alignment vertical="center" wrapText="1"/>
    </xf>
    <xf numFmtId="165" fontId="0" fillId="0" borderId="0" xfId="0" applyNumberFormat="1"/>
    <xf numFmtId="167" fontId="0" fillId="0" borderId="0" xfId="0" applyNumberFormat="1"/>
    <xf numFmtId="0" fontId="2" fillId="0" borderId="0" xfId="0" applyFont="1"/>
    <xf numFmtId="0" fontId="0" fillId="2" borderId="0" xfId="0" applyFill="1"/>
    <xf numFmtId="0" fontId="4" fillId="2" borderId="0" xfId="0" applyFont="1" applyFill="1"/>
    <xf numFmtId="0" fontId="5" fillId="0" borderId="11" xfId="0" applyFont="1" applyBorder="1"/>
    <xf numFmtId="0" fontId="5" fillId="0" borderId="13" xfId="0" applyFont="1" applyBorder="1"/>
    <xf numFmtId="1" fontId="0" fillId="5" borderId="12" xfId="0" applyNumberFormat="1" applyFill="1" applyBorder="1"/>
    <xf numFmtId="167" fontId="0" fillId="2" borderId="14" xfId="0" applyNumberFormat="1" applyFill="1" applyBorder="1"/>
    <xf numFmtId="165" fontId="6" fillId="0" borderId="0" xfId="1" applyNumberFormat="1" applyFont="1" applyAlignment="1" applyProtection="1">
      <alignment horizontal="left" wrapText="1"/>
    </xf>
    <xf numFmtId="0" fontId="6" fillId="0" borderId="0" xfId="0" applyFont="1"/>
    <xf numFmtId="0" fontId="2" fillId="0" borderId="0" xfId="0" applyFont="1" applyAlignment="1">
      <alignment horizontal="center" wrapText="1"/>
    </xf>
    <xf numFmtId="0" fontId="0" fillId="0" borderId="1" xfId="0" applyBorder="1"/>
    <xf numFmtId="49" fontId="1" fillId="0" borderId="2" xfId="1" applyNumberFormat="1" applyFont="1" applyBorder="1" applyAlignment="1">
      <alignment horizontal="right"/>
    </xf>
    <xf numFmtId="166" fontId="1" fillId="0" borderId="2" xfId="1" applyNumberFormat="1" applyFont="1" applyBorder="1" applyAlignment="1"/>
    <xf numFmtId="166" fontId="1" fillId="0" borderId="3" xfId="1" applyNumberFormat="1" applyFont="1" applyBorder="1" applyAlignment="1"/>
    <xf numFmtId="0" fontId="0" fillId="0" borderId="4" xfId="0" applyBorder="1"/>
    <xf numFmtId="49" fontId="1" fillId="0" borderId="0" xfId="1" applyNumberFormat="1" applyFont="1" applyBorder="1" applyAlignment="1">
      <alignment horizontal="right"/>
    </xf>
    <xf numFmtId="164" fontId="0" fillId="0" borderId="0" xfId="1" applyFont="1" applyBorder="1" applyAlignment="1"/>
    <xf numFmtId="166" fontId="0" fillId="0" borderId="0" xfId="1" applyNumberFormat="1" applyFont="1" applyBorder="1" applyAlignment="1"/>
    <xf numFmtId="164" fontId="0" fillId="0" borderId="5" xfId="1" applyFont="1" applyBorder="1" applyAlignment="1"/>
    <xf numFmtId="165" fontId="7" fillId="2" borderId="5" xfId="1" applyNumberFormat="1" applyFont="1" applyFill="1" applyBorder="1" applyAlignment="1"/>
    <xf numFmtId="165" fontId="0" fillId="0" borderId="0" xfId="1" applyNumberFormat="1" applyFont="1" applyBorder="1" applyAlignment="1"/>
    <xf numFmtId="166" fontId="0" fillId="0" borderId="5" xfId="1" applyNumberFormat="1" applyFont="1" applyBorder="1" applyAlignment="1"/>
    <xf numFmtId="165" fontId="0" fillId="0" borderId="5" xfId="1" applyNumberFormat="1" applyFont="1" applyBorder="1" applyAlignment="1"/>
    <xf numFmtId="165" fontId="0" fillId="0" borderId="5" xfId="0" applyNumberFormat="1" applyBorder="1"/>
    <xf numFmtId="165" fontId="1" fillId="0" borderId="0" xfId="1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 vertical="center"/>
    </xf>
    <xf numFmtId="166" fontId="0" fillId="0" borderId="0" xfId="1" applyNumberFormat="1" applyFont="1" applyFill="1" applyBorder="1" applyAlignment="1"/>
    <xf numFmtId="0" fontId="0" fillId="0" borderId="5" xfId="0" applyBorder="1"/>
    <xf numFmtId="0" fontId="0" fillId="0" borderId="6" xfId="0" applyBorder="1"/>
    <xf numFmtId="49" fontId="1" fillId="0" borderId="7" xfId="1" applyNumberFormat="1" applyFont="1" applyBorder="1" applyAlignment="1">
      <alignment horizontal="right"/>
    </xf>
    <xf numFmtId="165" fontId="0" fillId="0" borderId="7" xfId="1" applyNumberFormat="1" applyFont="1" applyBorder="1" applyAlignment="1"/>
    <xf numFmtId="165" fontId="0" fillId="0" borderId="8" xfId="0" applyNumberFormat="1" applyBorder="1"/>
    <xf numFmtId="165" fontId="1" fillId="0" borderId="0" xfId="1" applyNumberFormat="1" applyFont="1" applyAlignment="1">
      <alignment horizontal="right"/>
    </xf>
    <xf numFmtId="165" fontId="0" fillId="0" borderId="0" xfId="1" applyNumberFormat="1" applyFont="1" applyAlignment="1"/>
    <xf numFmtId="165" fontId="0" fillId="0" borderId="2" xfId="1" applyNumberFormat="1" applyFont="1" applyBorder="1" applyAlignment="1"/>
    <xf numFmtId="166" fontId="0" fillId="0" borderId="2" xfId="1" applyNumberFormat="1" applyFont="1" applyBorder="1" applyAlignment="1"/>
    <xf numFmtId="165" fontId="0" fillId="0" borderId="3" xfId="1" applyNumberFormat="1" applyFont="1" applyBorder="1" applyAlignment="1"/>
    <xf numFmtId="165" fontId="0" fillId="2" borderId="0" xfId="1" applyNumberFormat="1" applyFont="1" applyFill="1" applyBorder="1" applyAlignment="1"/>
    <xf numFmtId="165" fontId="0" fillId="2" borderId="5" xfId="1" applyNumberFormat="1" applyFont="1" applyFill="1" applyBorder="1" applyAlignment="1"/>
    <xf numFmtId="165" fontId="0" fillId="0" borderId="0" xfId="1" applyNumberFormat="1" applyFont="1" applyFill="1" applyBorder="1" applyAlignment="1"/>
    <xf numFmtId="0" fontId="2" fillId="0" borderId="6" xfId="0" applyFont="1" applyBorder="1"/>
    <xf numFmtId="49" fontId="2" fillId="0" borderId="7" xfId="1" applyNumberFormat="1" applyFont="1" applyBorder="1" applyAlignment="1">
      <alignment horizontal="right"/>
    </xf>
    <xf numFmtId="165" fontId="2" fillId="0" borderId="7" xfId="1" applyNumberFormat="1" applyFont="1" applyBorder="1" applyAlignment="1"/>
    <xf numFmtId="165" fontId="2" fillId="0" borderId="8" xfId="1" applyNumberFormat="1" applyFont="1" applyBorder="1" applyAlignment="1"/>
    <xf numFmtId="165" fontId="2" fillId="0" borderId="7" xfId="0" applyNumberFormat="1" applyFont="1" applyBorder="1"/>
    <xf numFmtId="165" fontId="2" fillId="0" borderId="8" xfId="0" applyNumberFormat="1" applyFont="1" applyBorder="1"/>
    <xf numFmtId="0" fontId="3" fillId="3" borderId="6" xfId="0" applyFont="1" applyFill="1" applyBorder="1"/>
    <xf numFmtId="49" fontId="3" fillId="3" borderId="7" xfId="1" applyNumberFormat="1" applyFont="1" applyFill="1" applyBorder="1" applyAlignment="1">
      <alignment horizontal="right"/>
    </xf>
    <xf numFmtId="165" fontId="4" fillId="3" borderId="7" xfId="1" applyNumberFormat="1" applyFont="1" applyFill="1" applyBorder="1" applyAlignment="1"/>
    <xf numFmtId="165" fontId="4" fillId="3" borderId="8" xfId="1" applyNumberFormat="1" applyFont="1" applyFill="1" applyBorder="1" applyAlignment="1"/>
    <xf numFmtId="165" fontId="4" fillId="3" borderId="7" xfId="0" applyNumberFormat="1" applyFont="1" applyFill="1" applyBorder="1"/>
    <xf numFmtId="166" fontId="1" fillId="4" borderId="10" xfId="1" applyNumberFormat="1" applyFont="1" applyFill="1" applyBorder="1" applyAlignment="1" applyProtection="1">
      <alignment horizontal="right" wrapText="1"/>
    </xf>
    <xf numFmtId="0" fontId="8" fillId="0" borderId="0" xfId="0" applyFont="1"/>
    <xf numFmtId="0" fontId="0" fillId="5" borderId="0" xfId="0" applyFill="1"/>
    <xf numFmtId="0" fontId="0" fillId="4" borderId="0" xfId="0" applyFill="1"/>
    <xf numFmtId="0" fontId="0" fillId="2" borderId="15" xfId="0" applyFill="1" applyBorder="1" applyAlignment="1">
      <alignment wrapText="1"/>
    </xf>
    <xf numFmtId="0" fontId="0" fillId="2" borderId="0" xfId="0" applyFill="1" applyAlignment="1">
      <alignment horizontal="center" vertical="center"/>
    </xf>
    <xf numFmtId="0" fontId="2" fillId="2" borderId="6" xfId="0" applyFont="1" applyFill="1" applyBorder="1"/>
    <xf numFmtId="0" fontId="3" fillId="3" borderId="6" xfId="0" applyFont="1" applyFill="1" applyBorder="1" applyAlignment="1">
      <alignment vertical="center" wrapText="1"/>
    </xf>
    <xf numFmtId="0" fontId="0" fillId="6" borderId="15" xfId="0" applyFill="1" applyBorder="1" applyAlignment="1">
      <alignment horizontal="center" vertical="center"/>
    </xf>
    <xf numFmtId="0" fontId="0" fillId="6" borderId="0" xfId="0" applyFill="1"/>
    <xf numFmtId="0" fontId="9" fillId="0" borderId="0" xfId="0" applyFont="1"/>
    <xf numFmtId="0" fontId="3" fillId="0" borderId="0" xfId="0" applyFont="1" applyAlignment="1">
      <alignment horizontal="left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8A950-E1B9-44C7-95C6-660BC7267A47}">
  <sheetPr>
    <pageSetUpPr fitToPage="1"/>
  </sheetPr>
  <dimension ref="A1:P57"/>
  <sheetViews>
    <sheetView showGridLines="0" tabSelected="1" zoomScaleNormal="100" workbookViewId="0">
      <selection activeCell="F44" sqref="F44"/>
    </sheetView>
  </sheetViews>
  <sheetFormatPr defaultColWidth="8.90625" defaultRowHeight="14.5" x14ac:dyDescent="0.35"/>
  <cols>
    <col min="1" max="1" width="2.90625" customWidth="1"/>
    <col min="2" max="2" width="47.6328125" customWidth="1"/>
    <col min="3" max="3" width="11.36328125" style="1" customWidth="1"/>
    <col min="4" max="5" width="17" style="2" customWidth="1"/>
    <col min="6" max="8" width="17" customWidth="1"/>
    <col min="9" max="9" width="5.54296875" customWidth="1"/>
    <col min="10" max="10" width="68.453125" bestFit="1" customWidth="1"/>
    <col min="13" max="13" width="18.81640625" customWidth="1"/>
    <col min="14" max="14" width="11" bestFit="1" customWidth="1"/>
    <col min="15" max="15" width="5.6328125" bestFit="1" customWidth="1"/>
  </cols>
  <sheetData>
    <row r="1" spans="1:13" ht="26" x14ac:dyDescent="0.6">
      <c r="B1" s="10" t="s">
        <v>41</v>
      </c>
    </row>
    <row r="2" spans="1:13" x14ac:dyDescent="0.35">
      <c r="D2"/>
      <c r="E2"/>
    </row>
    <row r="3" spans="1:13" ht="26" x14ac:dyDescent="0.6">
      <c r="B3" s="10" t="s">
        <v>24</v>
      </c>
      <c r="C3" s="9"/>
      <c r="D3"/>
      <c r="E3"/>
    </row>
    <row r="4" spans="1:13" ht="14.4" customHeight="1" x14ac:dyDescent="0.35">
      <c r="B4" s="69" t="s">
        <v>53</v>
      </c>
      <c r="C4" s="69"/>
      <c r="D4"/>
      <c r="E4"/>
    </row>
    <row r="5" spans="1:13" x14ac:dyDescent="0.35">
      <c r="B5" s="62" t="s">
        <v>51</v>
      </c>
      <c r="C5" s="62"/>
      <c r="D5"/>
      <c r="E5"/>
    </row>
    <row r="6" spans="1:13" x14ac:dyDescent="0.35">
      <c r="B6" s="63" t="s">
        <v>52</v>
      </c>
      <c r="C6" s="63"/>
      <c r="D6" s="9"/>
      <c r="E6" s="9"/>
      <c r="F6" s="9"/>
    </row>
    <row r="7" spans="1:13" x14ac:dyDescent="0.35">
      <c r="A7" s="3"/>
      <c r="B7" s="9" t="s">
        <v>29</v>
      </c>
      <c r="C7" s="9"/>
      <c r="D7" s="9"/>
      <c r="E7" s="9"/>
      <c r="F7" s="9"/>
    </row>
    <row r="8" spans="1:13" x14ac:dyDescent="0.35">
      <c r="A8" s="3"/>
      <c r="B8" s="9"/>
      <c r="C8" s="9"/>
      <c r="D8" s="9"/>
      <c r="E8" s="9"/>
      <c r="F8" s="9"/>
    </row>
    <row r="9" spans="1:13" ht="15" thickBot="1" x14ac:dyDescent="0.4">
      <c r="A9" s="3"/>
      <c r="B9" s="9"/>
      <c r="C9" s="9"/>
      <c r="D9" s="9"/>
      <c r="E9" s="9"/>
      <c r="F9" s="9"/>
    </row>
    <row r="10" spans="1:13" ht="116.5" thickBot="1" x14ac:dyDescent="0.4">
      <c r="A10" s="3"/>
      <c r="B10" s="64" t="s">
        <v>59</v>
      </c>
      <c r="C10" s="68" t="s">
        <v>60</v>
      </c>
      <c r="D10" s="65" t="s">
        <v>48</v>
      </c>
      <c r="E10" s="9"/>
      <c r="F10" s="9"/>
    </row>
    <row r="11" spans="1:13" x14ac:dyDescent="0.35">
      <c r="A11" s="3"/>
      <c r="B11" s="9"/>
      <c r="C11" s="9"/>
      <c r="D11" s="9"/>
      <c r="E11" s="9"/>
      <c r="F11" s="9"/>
    </row>
    <row r="12" spans="1:13" ht="27.5" thickBot="1" x14ac:dyDescent="0.65">
      <c r="B12" s="10" t="s">
        <v>43</v>
      </c>
      <c r="C12" s="15" t="s">
        <v>46</v>
      </c>
    </row>
    <row r="13" spans="1:13" ht="26" x14ac:dyDescent="0.6">
      <c r="B13" s="11" t="s">
        <v>44</v>
      </c>
      <c r="C13" s="13">
        <v>1696.3448922211812</v>
      </c>
      <c r="D13" t="s">
        <v>45</v>
      </c>
    </row>
    <row r="14" spans="1:13" ht="26.5" thickBot="1" x14ac:dyDescent="0.65">
      <c r="B14" s="12" t="s">
        <v>25</v>
      </c>
      <c r="C14" s="14">
        <f>((C13*11)/1000)*0.97</f>
        <v>18.100000000000005</v>
      </c>
      <c r="D14" t="s">
        <v>0</v>
      </c>
    </row>
    <row r="15" spans="1:13" ht="32.4" customHeight="1" thickBot="1" x14ac:dyDescent="0.65">
      <c r="B15" s="10" t="s">
        <v>18</v>
      </c>
      <c r="C15" s="15" t="s">
        <v>22</v>
      </c>
      <c r="I15" s="3"/>
      <c r="J15" s="3"/>
      <c r="K15" s="3"/>
      <c r="L15" s="3"/>
      <c r="M15" s="3"/>
    </row>
    <row r="16" spans="1:13" ht="26" x14ac:dyDescent="0.6">
      <c r="B16" s="11" t="s">
        <v>20</v>
      </c>
      <c r="C16" s="13">
        <v>2130</v>
      </c>
      <c r="D16" t="s">
        <v>27</v>
      </c>
      <c r="E16"/>
    </row>
    <row r="17" spans="1:16" ht="26.5" thickBot="1" x14ac:dyDescent="0.65">
      <c r="B17" s="12" t="s">
        <v>25</v>
      </c>
      <c r="C17" s="14">
        <f>C16*0.85/100</f>
        <v>18.105</v>
      </c>
      <c r="D17" t="s">
        <v>0</v>
      </c>
      <c r="E17"/>
    </row>
    <row r="18" spans="1:16" ht="27.5" thickBot="1" x14ac:dyDescent="0.65">
      <c r="B18" s="10" t="s">
        <v>19</v>
      </c>
      <c r="C18" s="15" t="s">
        <v>23</v>
      </c>
    </row>
    <row r="19" spans="1:16" ht="26" x14ac:dyDescent="0.6">
      <c r="B19" s="11" t="s">
        <v>26</v>
      </c>
      <c r="C19" s="13">
        <v>4630</v>
      </c>
      <c r="D19" t="s">
        <v>28</v>
      </c>
    </row>
    <row r="20" spans="1:16" ht="26.5" thickBot="1" x14ac:dyDescent="0.65">
      <c r="B20" s="12" t="s">
        <v>25</v>
      </c>
      <c r="C20" s="14">
        <f>C19*4.9*0.8/1000</f>
        <v>18.149600000000003</v>
      </c>
      <c r="D20" t="s">
        <v>0</v>
      </c>
      <c r="I20" s="6"/>
    </row>
    <row r="22" spans="1:16" ht="15" thickBot="1" x14ac:dyDescent="0.4">
      <c r="C22" s="16" t="s">
        <v>21</v>
      </c>
      <c r="D22"/>
    </row>
    <row r="23" spans="1:16" ht="26.5" thickBot="1" x14ac:dyDescent="0.65">
      <c r="B23" s="4" t="s">
        <v>16</v>
      </c>
      <c r="C23" s="60">
        <v>18.100000000000001</v>
      </c>
      <c r="D23" s="2" t="s">
        <v>30</v>
      </c>
    </row>
    <row r="24" spans="1:16" x14ac:dyDescent="0.35">
      <c r="C24"/>
      <c r="D24"/>
      <c r="E24"/>
    </row>
    <row r="25" spans="1:16" ht="40.75" customHeight="1" thickBot="1" x14ac:dyDescent="0.4">
      <c r="B25" s="71" t="s">
        <v>17</v>
      </c>
      <c r="C25" s="71"/>
      <c r="D25" s="17" t="s">
        <v>31</v>
      </c>
      <c r="E25" s="17" t="s">
        <v>10</v>
      </c>
      <c r="F25" s="17" t="s">
        <v>32</v>
      </c>
      <c r="G25" s="17" t="s">
        <v>33</v>
      </c>
      <c r="H25" s="5"/>
    </row>
    <row r="26" spans="1:16" x14ac:dyDescent="0.35">
      <c r="B26" s="18" t="s">
        <v>8</v>
      </c>
      <c r="C26" s="19" t="s">
        <v>0</v>
      </c>
      <c r="D26" s="20">
        <f>C23</f>
        <v>18.100000000000001</v>
      </c>
      <c r="E26" s="20">
        <f>C23</f>
        <v>18.100000000000001</v>
      </c>
      <c r="F26" s="20">
        <f>C23</f>
        <v>18.100000000000001</v>
      </c>
      <c r="G26" s="21">
        <f>C23</f>
        <v>18.100000000000001</v>
      </c>
      <c r="I26" s="6"/>
    </row>
    <row r="27" spans="1:16" s="8" customFormat="1" x14ac:dyDescent="0.35">
      <c r="A27"/>
      <c r="B27" s="22" t="s">
        <v>12</v>
      </c>
      <c r="C27" s="23"/>
      <c r="D27" s="24">
        <v>0.97</v>
      </c>
      <c r="E27" s="24">
        <v>0.85</v>
      </c>
      <c r="F27" s="25">
        <v>0</v>
      </c>
      <c r="G27" s="26">
        <f>3.15</f>
        <v>3.15</v>
      </c>
      <c r="H27"/>
      <c r="I27"/>
      <c r="J27"/>
      <c r="K27"/>
      <c r="L27"/>
      <c r="M27"/>
      <c r="N27"/>
      <c r="O27"/>
      <c r="P27"/>
    </row>
    <row r="28" spans="1:16" s="8" customFormat="1" x14ac:dyDescent="0.35">
      <c r="A28"/>
      <c r="B28" s="22" t="s">
        <v>34</v>
      </c>
      <c r="C28" s="23" t="s">
        <v>2</v>
      </c>
      <c r="D28" s="25">
        <v>0</v>
      </c>
      <c r="E28" s="25">
        <v>0</v>
      </c>
      <c r="F28" s="25">
        <v>0</v>
      </c>
      <c r="G28" s="27">
        <f>332.2*10-1115</f>
        <v>2207</v>
      </c>
      <c r="H28"/>
      <c r="I28"/>
      <c r="J28"/>
      <c r="K28"/>
      <c r="L28"/>
      <c r="M28"/>
      <c r="N28"/>
      <c r="O28"/>
      <c r="P28"/>
    </row>
    <row r="29" spans="1:16" s="8" customFormat="1" x14ac:dyDescent="0.35">
      <c r="A29"/>
      <c r="B29" s="22" t="s">
        <v>35</v>
      </c>
      <c r="C29" s="23" t="s">
        <v>3</v>
      </c>
      <c r="D29" s="25">
        <v>0</v>
      </c>
      <c r="E29" s="25">
        <v>0</v>
      </c>
      <c r="F29" s="28">
        <v>22500</v>
      </c>
      <c r="G29" s="29">
        <v>0</v>
      </c>
      <c r="H29"/>
      <c r="I29"/>
      <c r="J29"/>
      <c r="K29"/>
      <c r="L29"/>
      <c r="M29"/>
    </row>
    <row r="30" spans="1:16" x14ac:dyDescent="0.35">
      <c r="A30" s="8"/>
      <c r="B30" s="22" t="s">
        <v>36</v>
      </c>
      <c r="C30" s="23" t="s">
        <v>3</v>
      </c>
      <c r="D30" s="25">
        <f>3.9*7.44*1000</f>
        <v>29016</v>
      </c>
      <c r="E30" s="25">
        <f>5.5*1000*7.44</f>
        <v>40920</v>
      </c>
      <c r="F30" s="28"/>
      <c r="G30" s="30">
        <v>130000</v>
      </c>
      <c r="N30" s="8"/>
      <c r="O30" s="8"/>
      <c r="P30" s="8"/>
    </row>
    <row r="31" spans="1:16" ht="15" customHeight="1" x14ac:dyDescent="0.35">
      <c r="A31" s="8"/>
      <c r="B31" s="22" t="s">
        <v>37</v>
      </c>
      <c r="C31" s="23" t="s">
        <v>3</v>
      </c>
      <c r="D31" s="25">
        <v>0</v>
      </c>
      <c r="E31" s="25">
        <v>0</v>
      </c>
      <c r="F31" s="28">
        <v>0</v>
      </c>
      <c r="G31" s="31">
        <f>((9250-0.3*(9250-8560))*7.44)*1.25</f>
        <v>84099.9</v>
      </c>
      <c r="N31" s="8"/>
      <c r="O31" s="8"/>
      <c r="P31" s="8"/>
    </row>
    <row r="32" spans="1:16" ht="15" customHeight="1" x14ac:dyDescent="0.35">
      <c r="A32" s="8"/>
      <c r="B32" s="22" t="s">
        <v>14</v>
      </c>
      <c r="C32" s="32" t="s">
        <v>13</v>
      </c>
      <c r="D32" s="25">
        <v>0</v>
      </c>
      <c r="E32" s="25">
        <v>0</v>
      </c>
      <c r="F32" s="33">
        <v>0</v>
      </c>
      <c r="G32" s="34">
        <v>0</v>
      </c>
    </row>
    <row r="33" spans="2:13" x14ac:dyDescent="0.35">
      <c r="B33" s="22" t="s">
        <v>4</v>
      </c>
      <c r="C33" s="23" t="s">
        <v>5</v>
      </c>
      <c r="D33" s="35">
        <v>20</v>
      </c>
      <c r="E33">
        <v>20</v>
      </c>
      <c r="F33" s="28">
        <v>25</v>
      </c>
      <c r="G33" s="36">
        <v>16</v>
      </c>
    </row>
    <row r="34" spans="2:13" ht="15" thickBot="1" x14ac:dyDescent="0.4">
      <c r="B34" s="22" t="s">
        <v>38</v>
      </c>
      <c r="C34" s="23" t="s">
        <v>3</v>
      </c>
      <c r="D34" s="25">
        <v>0</v>
      </c>
      <c r="E34" s="25">
        <v>0</v>
      </c>
      <c r="F34" s="28">
        <f>32000*1.25</f>
        <v>40000</v>
      </c>
      <c r="G34" s="31">
        <v>0</v>
      </c>
      <c r="K34" s="8"/>
      <c r="L34" s="8"/>
      <c r="M34" s="8"/>
    </row>
    <row r="35" spans="2:13" ht="15" thickBot="1" x14ac:dyDescent="0.4">
      <c r="B35" s="37" t="s">
        <v>11</v>
      </c>
      <c r="C35" s="38" t="s">
        <v>3</v>
      </c>
      <c r="D35" s="39">
        <f>D30</f>
        <v>29016</v>
      </c>
      <c r="E35" s="39">
        <f>E30</f>
        <v>40920</v>
      </c>
      <c r="F35" s="39">
        <f>F29+F34+F32</f>
        <v>62500</v>
      </c>
      <c r="G35" s="40">
        <f>G30+G32</f>
        <v>130000</v>
      </c>
      <c r="I35" s="8"/>
      <c r="K35" s="8"/>
      <c r="L35" s="8"/>
      <c r="M35" s="8"/>
    </row>
    <row r="36" spans="2:13" ht="15" thickBot="1" x14ac:dyDescent="0.4">
      <c r="C36" s="41"/>
      <c r="D36"/>
      <c r="E36"/>
      <c r="F36" s="42"/>
      <c r="H36" s="7"/>
      <c r="I36" s="8"/>
      <c r="K36" s="8"/>
      <c r="L36" s="8"/>
      <c r="M36" s="8"/>
    </row>
    <row r="37" spans="2:13" x14ac:dyDescent="0.35">
      <c r="B37" s="18" t="s">
        <v>15</v>
      </c>
      <c r="C37" s="19" t="s">
        <v>2</v>
      </c>
      <c r="D37" s="43">
        <v>1909</v>
      </c>
      <c r="E37" s="43">
        <f>(17807/10)/E27</f>
        <v>2094.9411764705883</v>
      </c>
      <c r="F37" s="44">
        <f>IF(C10="X",737.5,IF(C10="x",737.5,537.5))</f>
        <v>737.5</v>
      </c>
      <c r="G37" s="45">
        <f>G28/G27</f>
        <v>700.6349206349206</v>
      </c>
      <c r="H37" s="7"/>
      <c r="I37" s="8"/>
    </row>
    <row r="38" spans="2:13" x14ac:dyDescent="0.35">
      <c r="B38" s="22" t="s">
        <v>15</v>
      </c>
      <c r="C38" s="23" t="s">
        <v>1</v>
      </c>
      <c r="D38" s="28">
        <f>D37*D26</f>
        <v>34552.9</v>
      </c>
      <c r="E38" s="28">
        <f>E26*E37/E27</f>
        <v>44609.923875432527</v>
      </c>
      <c r="F38" s="28">
        <f>F26*F37</f>
        <v>13348.750000000002</v>
      </c>
      <c r="G38" s="30">
        <f>G26*G37</f>
        <v>12681.492063492064</v>
      </c>
    </row>
    <row r="39" spans="2:13" x14ac:dyDescent="0.35">
      <c r="B39" s="22" t="s">
        <v>42</v>
      </c>
      <c r="C39" s="23" t="s">
        <v>1</v>
      </c>
      <c r="D39" s="28">
        <v>0</v>
      </c>
      <c r="E39" s="28">
        <v>0</v>
      </c>
      <c r="F39" s="46">
        <f>((F26*1000/365)/24)*1.9359116*590.63</f>
        <v>2362.519997303059</v>
      </c>
      <c r="G39" s="47">
        <v>0</v>
      </c>
      <c r="I39" s="6"/>
    </row>
    <row r="40" spans="2:13" x14ac:dyDescent="0.35">
      <c r="B40" s="22" t="s">
        <v>49</v>
      </c>
      <c r="C40" s="23" t="s">
        <v>1</v>
      </c>
      <c r="D40" s="28">
        <v>0</v>
      </c>
      <c r="E40" s="28">
        <v>0</v>
      </c>
      <c r="F40" s="46">
        <f>IF(C10="X",1800,IF(C10="x",1800,0))</f>
        <v>1800</v>
      </c>
      <c r="G40" s="47">
        <v>0</v>
      </c>
      <c r="I40" s="6"/>
    </row>
    <row r="41" spans="2:13" x14ac:dyDescent="0.35">
      <c r="B41" s="22" t="s">
        <v>6</v>
      </c>
      <c r="C41" s="23" t="s">
        <v>1</v>
      </c>
      <c r="D41" s="28">
        <f>192*7.44</f>
        <v>1428.48</v>
      </c>
      <c r="E41" s="28">
        <f>181*7.44*1.25+350</f>
        <v>2033.3000000000002</v>
      </c>
      <c r="F41" s="48">
        <f>7.44*46</f>
        <v>342.24</v>
      </c>
      <c r="G41" s="30">
        <f>(311*7.44)*1.25</f>
        <v>2892.3</v>
      </c>
    </row>
    <row r="42" spans="2:13" ht="15" thickBot="1" x14ac:dyDescent="0.4">
      <c r="B42" s="22" t="s">
        <v>9</v>
      </c>
      <c r="C42" s="23" t="s">
        <v>1</v>
      </c>
      <c r="D42" s="28">
        <v>0</v>
      </c>
      <c r="E42" s="28">
        <v>0</v>
      </c>
      <c r="F42" s="28">
        <v>1843.75</v>
      </c>
      <c r="G42" s="30">
        <v>0</v>
      </c>
      <c r="H42" s="8"/>
    </row>
    <row r="43" spans="2:13" ht="15" thickBot="1" x14ac:dyDescent="0.4">
      <c r="B43" s="49" t="s">
        <v>39</v>
      </c>
      <c r="C43" s="50" t="s">
        <v>1</v>
      </c>
      <c r="D43" s="51">
        <f>D38+D41</f>
        <v>35981.380000000005</v>
      </c>
      <c r="E43" s="51">
        <f>E38+E39+E41</f>
        <v>46643.22387543253</v>
      </c>
      <c r="F43" s="51">
        <f>F38+F39+F42+F41+F40</f>
        <v>19697.259997303063</v>
      </c>
      <c r="G43" s="52">
        <f>G39+G38+G41</f>
        <v>15573.792063492063</v>
      </c>
      <c r="H43" s="8" t="s">
        <v>54</v>
      </c>
    </row>
    <row r="44" spans="2:13" ht="15" thickBot="1" x14ac:dyDescent="0.4">
      <c r="B44" s="66" t="s">
        <v>50</v>
      </c>
      <c r="C44" s="50" t="s">
        <v>13</v>
      </c>
      <c r="D44" s="53">
        <f>D43-$F$43</f>
        <v>16284.120002696942</v>
      </c>
      <c r="E44" s="53">
        <f>E43-$F$43</f>
        <v>26945.963878129467</v>
      </c>
      <c r="F44" s="53">
        <f>F43-$F$43</f>
        <v>0</v>
      </c>
      <c r="G44" s="54">
        <f>G43-$F$43</f>
        <v>-4123.467933811</v>
      </c>
      <c r="H44" s="8"/>
    </row>
    <row r="45" spans="2:13" ht="15" thickBot="1" x14ac:dyDescent="0.4">
      <c r="C45" s="41"/>
      <c r="D45"/>
      <c r="E45"/>
      <c r="F45" s="42"/>
    </row>
    <row r="46" spans="2:13" ht="26.5" thickBot="1" x14ac:dyDescent="0.65">
      <c r="B46" s="55" t="s">
        <v>40</v>
      </c>
      <c r="C46" s="56" t="s">
        <v>1</v>
      </c>
      <c r="D46" s="57">
        <f>D43+D35/20</f>
        <v>37432.180000000008</v>
      </c>
      <c r="E46" s="57">
        <f>E43+E35/20</f>
        <v>48689.22387543253</v>
      </c>
      <c r="F46" s="57">
        <f>F43+F35/25</f>
        <v>22197.259997303063</v>
      </c>
      <c r="G46" s="58">
        <f>G43+G35/16</f>
        <v>23698.792063492063</v>
      </c>
      <c r="H46" t="s">
        <v>54</v>
      </c>
    </row>
    <row r="47" spans="2:13" ht="31.5" thickBot="1" x14ac:dyDescent="0.65">
      <c r="B47" s="67" t="s">
        <v>50</v>
      </c>
      <c r="C47" s="56" t="s">
        <v>13</v>
      </c>
      <c r="D47" s="59">
        <f>D46-$F$46</f>
        <v>15234.920002696945</v>
      </c>
      <c r="E47" s="59">
        <f>E46-$F$46</f>
        <v>26491.963878129467</v>
      </c>
      <c r="F47" s="59">
        <f>F46-$F$46</f>
        <v>0</v>
      </c>
      <c r="G47" s="59">
        <f>G46-$F$46</f>
        <v>1501.532066189</v>
      </c>
    </row>
    <row r="48" spans="2:13" ht="15" thickBot="1" x14ac:dyDescent="0.4">
      <c r="C48" s="41"/>
      <c r="D48"/>
      <c r="E48"/>
      <c r="F48" s="42"/>
    </row>
    <row r="49" spans="2:8" ht="15" thickBot="1" x14ac:dyDescent="0.4">
      <c r="B49" s="49" t="s">
        <v>7</v>
      </c>
      <c r="C49" s="50" t="s">
        <v>3</v>
      </c>
      <c r="D49" s="51">
        <f>D43*20</f>
        <v>719627.60000000009</v>
      </c>
      <c r="E49" s="51">
        <f>E46*20</f>
        <v>973784.47750865063</v>
      </c>
      <c r="F49" s="51">
        <f>F46*20</f>
        <v>443945.19994606124</v>
      </c>
      <c r="G49" s="52">
        <f>G46*20</f>
        <v>473975.84126984124</v>
      </c>
      <c r="H49" t="s">
        <v>54</v>
      </c>
    </row>
    <row r="50" spans="2:8" ht="15" thickBot="1" x14ac:dyDescent="0.4">
      <c r="B50" s="66" t="s">
        <v>50</v>
      </c>
      <c r="C50" s="50" t="s">
        <v>13</v>
      </c>
      <c r="D50" s="53">
        <f>D49-$F$49</f>
        <v>275682.40005393885</v>
      </c>
      <c r="E50" s="53">
        <f>E49-$F$49</f>
        <v>529839.27756258938</v>
      </c>
      <c r="F50" s="53">
        <f>F49-$F$49</f>
        <v>0</v>
      </c>
      <c r="G50" s="54">
        <f>G49-$F$49</f>
        <v>30030.641323780001</v>
      </c>
    </row>
    <row r="52" spans="2:8" x14ac:dyDescent="0.35">
      <c r="B52" s="70" t="s">
        <v>55</v>
      </c>
    </row>
    <row r="54" spans="2:8" ht="15.5" x14ac:dyDescent="0.35">
      <c r="B54" s="61" t="s">
        <v>47</v>
      </c>
    </row>
    <row r="55" spans="2:8" x14ac:dyDescent="0.35">
      <c r="B55" t="s">
        <v>56</v>
      </c>
    </row>
    <row r="56" spans="2:8" x14ac:dyDescent="0.35">
      <c r="B56" t="s">
        <v>57</v>
      </c>
    </row>
    <row r="57" spans="2:8" x14ac:dyDescent="0.35">
      <c r="B57" t="s">
        <v>58</v>
      </c>
    </row>
  </sheetData>
  <sheetProtection algorithmName="SHA-512" hashValue="+fXFP6A5rxkhpKy6DnEu83aKOmqt/JaepvtfOsE9cZKOC1Mv2va21LvwW5PzSwg13cGXBOUa7p+wuEjA897XRg==" saltValue="RjeUo31xuhmbxQ9G2RoDlA==" spinCount="100000" sheet="1" objects="1" scenarios="1"/>
  <protectedRanges>
    <protectedRange sqref="C16 C19 C23 C13 C10" name="Område1" securityDescriptor="O:WDG:WDD:(A;;CC;;;WD)"/>
  </protectedRanges>
  <mergeCells count="1">
    <mergeCell ref="B25:C25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Afhængig af Varmeforbrug</vt:lpstr>
      <vt:lpstr>'Afhængig af Varmeforbrug'!Udskriftsområde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kirke</dc:creator>
  <cp:lastModifiedBy>Maria Voss</cp:lastModifiedBy>
  <cp:lastPrinted>2021-09-17T09:11:15Z</cp:lastPrinted>
  <dcterms:created xsi:type="dcterms:W3CDTF">2021-01-28T23:12:53Z</dcterms:created>
  <dcterms:modified xsi:type="dcterms:W3CDTF">2023-02-02T14:23:03Z</dcterms:modified>
</cp:coreProperties>
</file>